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33\"/>
    </mc:Choice>
  </mc:AlternateContent>
  <bookViews>
    <workbookView xWindow="0" yWindow="0" windowWidth="19305" windowHeight="8085"/>
  </bookViews>
  <sheets>
    <sheet name="CT3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Z2" i="1" s="1"/>
  <c r="W2" i="1"/>
  <c r="U2" i="1"/>
  <c r="P2" i="1"/>
  <c r="N2" i="1"/>
  <c r="L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H16" i="1" s="1"/>
  <c r="F15" i="1"/>
  <c r="F14" i="1"/>
  <c r="F13" i="1"/>
  <c r="H13" i="1" s="1"/>
  <c r="F12" i="1"/>
  <c r="H12" i="1" s="1"/>
  <c r="F11" i="1"/>
  <c r="F10" i="1"/>
  <c r="F9" i="1"/>
  <c r="H9" i="1" s="1"/>
  <c r="F8" i="1"/>
  <c r="H8" i="1" s="1"/>
  <c r="F7" i="1"/>
  <c r="F6" i="1"/>
  <c r="F5" i="1"/>
  <c r="H5" i="1" s="1"/>
  <c r="F4" i="1"/>
  <c r="H4" i="1" s="1"/>
  <c r="F3" i="1"/>
  <c r="F2" i="1"/>
  <c r="H2" i="1" l="1"/>
  <c r="H6" i="1"/>
  <c r="H10" i="1"/>
  <c r="H14" i="1"/>
  <c r="H3" i="1"/>
  <c r="H7" i="1"/>
  <c r="H11" i="1"/>
  <c r="H15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13" i="1" l="1"/>
  <c r="AB5" i="1"/>
  <c r="AB9" i="1"/>
  <c r="AB2" i="1"/>
  <c r="AB6" i="1"/>
  <c r="AB10" i="1"/>
  <c r="AB14" i="1"/>
  <c r="AB3" i="1"/>
  <c r="AB7" i="1"/>
  <c r="AB11" i="1"/>
  <c r="AB15" i="1"/>
  <c r="AB4" i="1"/>
  <c r="AB8" i="1"/>
  <c r="AB12" i="1"/>
  <c r="AB1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AE3" i="1" l="1"/>
  <c r="K2" i="1" s="1"/>
  <c r="K3" i="1" l="1"/>
  <c r="L3" i="1" s="1"/>
  <c r="K4" i="1"/>
  <c r="L4" i="1" s="1"/>
  <c r="K5" i="1"/>
  <c r="L5" i="1" s="1"/>
  <c r="K6" i="1"/>
  <c r="M2" i="1"/>
  <c r="M3" i="1"/>
  <c r="N3" i="1" s="1"/>
  <c r="M4" i="1"/>
  <c r="N4" i="1" s="1"/>
  <c r="M5" i="1"/>
  <c r="N5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M6" i="1" l="1"/>
  <c r="L6" i="1"/>
  <c r="M15" i="1"/>
  <c r="N15" i="1" s="1"/>
  <c r="M11" i="1"/>
  <c r="N11" i="1" s="1"/>
  <c r="M7" i="1"/>
  <c r="N7" i="1" s="1"/>
  <c r="O5" i="1"/>
  <c r="P5" i="1" s="1"/>
  <c r="X5" i="1"/>
  <c r="T5" i="1"/>
  <c r="U5" i="1" s="1"/>
  <c r="M14" i="1"/>
  <c r="N14" i="1" s="1"/>
  <c r="M10" i="1"/>
  <c r="N10" i="1" s="1"/>
  <c r="O6" i="1"/>
  <c r="X6" i="1"/>
  <c r="T6" i="1"/>
  <c r="T2" i="1"/>
  <c r="O2" i="1"/>
  <c r="X2" i="1"/>
  <c r="M17" i="1"/>
  <c r="N17" i="1" s="1"/>
  <c r="M13" i="1"/>
  <c r="N13" i="1" s="1"/>
  <c r="M9" i="1"/>
  <c r="N9" i="1" s="1"/>
  <c r="X3" i="1"/>
  <c r="T3" i="1"/>
  <c r="U3" i="1" s="1"/>
  <c r="O3" i="1"/>
  <c r="P3" i="1" s="1"/>
  <c r="M16" i="1"/>
  <c r="N16" i="1" s="1"/>
  <c r="M12" i="1"/>
  <c r="N12" i="1" s="1"/>
  <c r="M8" i="1"/>
  <c r="N8" i="1" s="1"/>
  <c r="O4" i="1"/>
  <c r="X4" i="1"/>
  <c r="T4" i="1"/>
  <c r="U4" i="1" s="1"/>
  <c r="AC5" i="1" l="1"/>
  <c r="Y5" i="1"/>
  <c r="Z5" i="1" s="1"/>
  <c r="AC6" i="1"/>
  <c r="Y6" i="1"/>
  <c r="Z6" i="1" s="1"/>
  <c r="N6" i="1"/>
  <c r="P6" i="1" s="1"/>
  <c r="Q4" i="1"/>
  <c r="P4" i="1"/>
  <c r="AC4" i="1"/>
  <c r="Y4" i="1"/>
  <c r="Z4" i="1" s="1"/>
  <c r="W4" i="1"/>
  <c r="W5" i="1"/>
  <c r="W3" i="1"/>
  <c r="AC3" i="1"/>
  <c r="Y3" i="1"/>
  <c r="Z3" i="1" s="1"/>
  <c r="O16" i="1"/>
  <c r="P16" i="1" s="1"/>
  <c r="X16" i="1"/>
  <c r="T16" i="1"/>
  <c r="U16" i="1" s="1"/>
  <c r="X17" i="1"/>
  <c r="O17" i="1"/>
  <c r="P17" i="1" s="1"/>
  <c r="O12" i="1"/>
  <c r="P12" i="1" s="1"/>
  <c r="X12" i="1"/>
  <c r="T12" i="1"/>
  <c r="U12" i="1" s="1"/>
  <c r="O13" i="1"/>
  <c r="X13" i="1"/>
  <c r="T13" i="1"/>
  <c r="U13" i="1" s="1"/>
  <c r="Q2" i="1"/>
  <c r="Q6" i="1"/>
  <c r="O14" i="1"/>
  <c r="X14" i="1"/>
  <c r="T14" i="1"/>
  <c r="U14" i="1" s="1"/>
  <c r="X15" i="1"/>
  <c r="T15" i="1"/>
  <c r="U15" i="1" s="1"/>
  <c r="O15" i="1"/>
  <c r="O8" i="1"/>
  <c r="X8" i="1"/>
  <c r="T8" i="1"/>
  <c r="U8" i="1" s="1"/>
  <c r="O9" i="1"/>
  <c r="X9" i="1"/>
  <c r="T9" i="1"/>
  <c r="U9" i="1" s="1"/>
  <c r="V2" i="1"/>
  <c r="V3" i="1"/>
  <c r="V4" i="1"/>
  <c r="V5" i="1"/>
  <c r="V6" i="1"/>
  <c r="O10" i="1"/>
  <c r="P10" i="1" s="1"/>
  <c r="X10" i="1"/>
  <c r="T10" i="1"/>
  <c r="U10" i="1" s="1"/>
  <c r="Q5" i="1"/>
  <c r="X11" i="1"/>
  <c r="T11" i="1"/>
  <c r="U11" i="1" s="1"/>
  <c r="O11" i="1"/>
  <c r="P11" i="1" s="1"/>
  <c r="Q3" i="1"/>
  <c r="AC2" i="1"/>
  <c r="X7" i="1"/>
  <c r="X24" i="1" s="1"/>
  <c r="T7" i="1"/>
  <c r="U7" i="1" s="1"/>
  <c r="O7" i="1"/>
  <c r="P7" i="1" s="1"/>
  <c r="W15" i="1" l="1"/>
  <c r="W9" i="1"/>
  <c r="W12" i="1"/>
  <c r="AC12" i="1"/>
  <c r="Y12" i="1"/>
  <c r="Z12" i="1" s="1"/>
  <c r="AC9" i="1"/>
  <c r="Y9" i="1"/>
  <c r="Z9" i="1" s="1"/>
  <c r="Q8" i="1"/>
  <c r="P8" i="1"/>
  <c r="AC11" i="1"/>
  <c r="Y11" i="1"/>
  <c r="Z11" i="1" s="1"/>
  <c r="Q15" i="1"/>
  <c r="P15" i="1"/>
  <c r="Q14" i="1"/>
  <c r="P14" i="1"/>
  <c r="AC13" i="1"/>
  <c r="Y13" i="1"/>
  <c r="Z13" i="1" s="1"/>
  <c r="AC16" i="1"/>
  <c r="Y16" i="1"/>
  <c r="Z16" i="1" s="1"/>
  <c r="U6" i="1"/>
  <c r="W8" i="1" s="1"/>
  <c r="AC7" i="1"/>
  <c r="Y7" i="1"/>
  <c r="Z7" i="1" s="1"/>
  <c r="AC10" i="1"/>
  <c r="AC23" i="1" s="1"/>
  <c r="Y10" i="1"/>
  <c r="Z10" i="1" s="1"/>
  <c r="Q9" i="1"/>
  <c r="P9" i="1"/>
  <c r="AC14" i="1"/>
  <c r="Y14" i="1"/>
  <c r="Z14" i="1" s="1"/>
  <c r="AC8" i="1"/>
  <c r="Y8" i="1"/>
  <c r="Z8" i="1" s="1"/>
  <c r="AC15" i="1"/>
  <c r="Y15" i="1"/>
  <c r="Z15" i="1" s="1"/>
  <c r="Q13" i="1"/>
  <c r="P13" i="1"/>
  <c r="Y24" i="1"/>
  <c r="V12" i="1"/>
  <c r="V8" i="1"/>
  <c r="V11" i="1"/>
  <c r="Q11" i="1"/>
  <c r="V7" i="1"/>
  <c r="V14" i="1"/>
  <c r="V10" i="1"/>
  <c r="Q12" i="1"/>
  <c r="V15" i="1"/>
  <c r="V9" i="1"/>
  <c r="V13" i="1"/>
  <c r="Q7" i="1"/>
  <c r="Q10" i="1"/>
  <c r="V16" i="1"/>
  <c r="Q17" i="1"/>
  <c r="Q16" i="1"/>
  <c r="W13" i="1" l="1"/>
  <c r="W16" i="1"/>
  <c r="W7" i="1"/>
  <c r="W6" i="1"/>
  <c r="W14" i="1"/>
  <c r="W11" i="1"/>
  <c r="W10" i="1"/>
</calcChain>
</file>

<file path=xl/sharedStrings.xml><?xml version="1.0" encoding="utf-8"?>
<sst xmlns="http://schemas.openxmlformats.org/spreadsheetml/2006/main" count="50" uniqueCount="50">
  <si>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</si>
  <si>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</si>
  <si>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</si>
  <si>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</si>
  <si>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</si>
  <si>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</si>
  <si>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</si>
  <si>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</si>
  <si>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</si>
  <si>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</si>
  <si>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</si>
  <si>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</si>
  <si>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of eluate (g)</t>
  </si>
  <si>
    <t>Weight Corrected Sr-90 Activity (DPM)</t>
  </si>
  <si>
    <t>Cumulative Activity (DPM)</t>
  </si>
  <si>
    <t>Decay constant of sr-90=</t>
  </si>
  <si>
    <t>Time from 19.07.2018</t>
  </si>
  <si>
    <t>DC factor</t>
  </si>
  <si>
    <t>CT33 1 mL</t>
  </si>
  <si>
    <t>CT33 2 mL</t>
  </si>
  <si>
    <t>CT33 3 mL</t>
  </si>
  <si>
    <t>CT33 4 mL</t>
  </si>
  <si>
    <t>CT33 5 mL</t>
  </si>
  <si>
    <t>CT33 6 mL</t>
  </si>
  <si>
    <t>CT33 7 mL</t>
  </si>
  <si>
    <t>CT33 8 mL</t>
  </si>
  <si>
    <t>CT33 9 mL</t>
  </si>
  <si>
    <t>CT33 10 mL</t>
  </si>
  <si>
    <t>CT33 11 mL</t>
  </si>
  <si>
    <t>CT33 12 mL</t>
  </si>
  <si>
    <t>CT33 13 mL</t>
  </si>
  <si>
    <t>CT33 14 mL</t>
  </si>
  <si>
    <t>CT33 15 mL</t>
  </si>
  <si>
    <t>3 ml/min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</si>
  <si>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</si>
  <si>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</si>
  <si>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</si>
  <si>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</si>
  <si>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</si>
  <si>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</si>
  <si>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</si>
  <si>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</si>
  <si>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</si>
  <si>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</si>
  <si>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</si>
  <si>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</si>
  <si>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</si>
  <si>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DC to 19.07.2018</t>
  </si>
  <si>
    <t>σ</t>
  </si>
  <si>
    <t>Sr-90 recovery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</si>
</sst>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0" borderId="0" xfId="0" applyFill="1" applyBorder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0" borderId="2" xfId="0" applyFill="1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1" fillId="0" borderId="0" xfId="0" applyFont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workbookViewId="0">
      <selection activeCell="B2" sqref="B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6" width="17.5703125" style="7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23" width="24.7109375" customWidth="1"/>
    <col min="24" max="24" width="12.7109375" bestFit="1" customWidth="1"/>
    <col min="25" max="26" width="12.7109375" customWidth="1"/>
    <col min="27" max="27" width="20" bestFit="1" customWidth="1"/>
    <col min="28" max="28" width="10.5703125" bestFit="1" customWidth="1"/>
    <col min="29" max="29" width="15.42578125" bestFit="1" customWidth="1"/>
    <col min="30" max="30" width="24.7109375" customWidth="1"/>
    <col min="31" max="31" width="22.140625" bestFit="1" customWidth="1"/>
  </cols>
  <sheetData>
    <row r="1" spans="1:31" ht="15.75" thickBot="1" x14ac:dyDescent="0.3">
      <c r="A1" s="27" t="s">
        <v>3</v>
      </c>
      <c r="B1" s="24" t="s">
        <v>5</v>
      </c>
      <c r="C1" s="8" t="s">
        <v>4</v>
      </c>
      <c r="D1" s="8" t="s">
        <v>0</v>
      </c>
      <c r="E1" s="4" t="s">
        <v>34</v>
      </c>
      <c r="F1" s="4" t="s">
        <v>35</v>
      </c>
      <c r="G1" s="8" t="s">
        <v>10</v>
      </c>
      <c r="H1" s="4" t="s">
        <v>36</v>
      </c>
      <c r="I1" s="8" t="s">
        <v>1</v>
      </c>
      <c r="J1" s="4" t="s">
        <v>37</v>
      </c>
      <c r="K1" s="8" t="s">
        <v>6</v>
      </c>
      <c r="L1" s="4" t="s">
        <v>38</v>
      </c>
      <c r="M1" s="8" t="s">
        <v>7</v>
      </c>
      <c r="N1" s="4" t="s">
        <v>39</v>
      </c>
      <c r="O1" s="8" t="s">
        <v>8</v>
      </c>
      <c r="P1" s="4" t="s">
        <v>40</v>
      </c>
      <c r="Q1" s="8" t="s">
        <v>9</v>
      </c>
      <c r="R1" s="8" t="s">
        <v>12</v>
      </c>
      <c r="S1" s="4" t="s">
        <v>41</v>
      </c>
      <c r="T1" s="9" t="s">
        <v>13</v>
      </c>
      <c r="U1" s="4" t="s">
        <v>42</v>
      </c>
      <c r="V1" s="9" t="s">
        <v>14</v>
      </c>
      <c r="W1" s="4" t="s">
        <v>43</v>
      </c>
      <c r="X1" s="8" t="s">
        <v>44</v>
      </c>
      <c r="Y1" s="4" t="s">
        <v>45</v>
      </c>
      <c r="Z1" s="4" t="s">
        <v>46</v>
      </c>
      <c r="AA1" s="8" t="s">
        <v>16</v>
      </c>
      <c r="AB1" s="8" t="s">
        <v>17</v>
      </c>
      <c r="AC1" s="10" t="s">
        <v>47</v>
      </c>
      <c r="AD1" s="2"/>
    </row>
    <row r="2" spans="1:31" x14ac:dyDescent="0.25">
      <c r="A2" s="28" t="s">
        <v>18</v>
      </c>
      <c r="B2" s="25">
        <v>43362.666666666664</v>
      </c>
      <c r="C2" s="20">
        <v>43363.51458333333</v>
      </c>
      <c r="D2" s="21">
        <v>9.65</v>
      </c>
      <c r="E2" s="5">
        <v>5.94</v>
      </c>
      <c r="F2" s="5">
        <f>D2*(E2/100)</f>
        <v>0.57321</v>
      </c>
      <c r="G2" s="19">
        <f>D2-$D$17</f>
        <v>2.1100000000000003</v>
      </c>
      <c r="H2" s="5">
        <f>SQRT((F2^2)+(F$17^2))</f>
        <v>0.76555018611714798</v>
      </c>
      <c r="I2" s="22">
        <f>(C2-B2)*24</f>
        <v>20.349999999976717</v>
      </c>
      <c r="J2" s="11">
        <f>1/60</f>
        <v>1.6666666666666666E-2</v>
      </c>
      <c r="K2" s="19">
        <f>1-EXP(-$AE$3*I2)</f>
        <v>0.2052534381540343</v>
      </c>
      <c r="L2" s="5">
        <f>K2*SQRT(((J2/I2)^2))</f>
        <v>1.6810273395108036E-4</v>
      </c>
      <c r="M2" s="19">
        <f>G2/((1+K2))</f>
        <v>1.7506691399542287</v>
      </c>
      <c r="N2" s="5">
        <f>M2*SQRT(((H2/G2)^2)+((L2/K2)^2))</f>
        <v>0.63517938410959629</v>
      </c>
      <c r="O2" s="19">
        <f>M2*K2</f>
        <v>0.35933086004577169</v>
      </c>
      <c r="P2" s="5">
        <f>O2*SQRT(((N2/M2)^2)+((L2/K2)^2))</f>
        <v>0.13037308458769575</v>
      </c>
      <c r="Q2" s="19">
        <f>M2+O2</f>
        <v>2.1100000000000003</v>
      </c>
      <c r="R2" s="19">
        <v>0.98449999999999971</v>
      </c>
      <c r="S2" s="5">
        <v>1.4142135623730951E-4</v>
      </c>
      <c r="T2" s="19">
        <f>M2/R2</f>
        <v>1.7782317317970839</v>
      </c>
      <c r="U2" s="5">
        <f>T2*SQRT(((S2/R2)^2)+((N2/M2)^2))</f>
        <v>0.6451797195454636</v>
      </c>
      <c r="V2" s="19">
        <f>SUM($T$2:T2)</f>
        <v>1.7782317317970839</v>
      </c>
      <c r="W2" s="5">
        <f>SQRT((U2^2))</f>
        <v>0.6451797195454636</v>
      </c>
      <c r="X2" s="19">
        <f>M2/60</f>
        <v>2.9177818999237146E-2</v>
      </c>
      <c r="Y2" s="5">
        <f>X2*SQRT(((N2/M2)^2))</f>
        <v>1.0586323068493272E-2</v>
      </c>
      <c r="Z2" s="5">
        <f>Y2^2</f>
        <v>1.120702361105128E-4</v>
      </c>
      <c r="AA2" s="19">
        <f>(C2-$AE$6)*24</f>
        <v>168.34999999991851</v>
      </c>
      <c r="AB2" s="23">
        <f>EXP(-$AE$9*AA2)</f>
        <v>0.9995375747349925</v>
      </c>
      <c r="AC2" s="19">
        <f>X2/AB2</f>
        <v>2.9191317802107705E-2</v>
      </c>
      <c r="AE2" t="s">
        <v>2</v>
      </c>
    </row>
    <row r="3" spans="1:31" x14ac:dyDescent="0.25">
      <c r="A3" s="29" t="s">
        <v>19</v>
      </c>
      <c r="B3" s="26">
        <v>43362.666898148149</v>
      </c>
      <c r="C3" s="15">
        <v>43363.537499999999</v>
      </c>
      <c r="D3" s="16">
        <v>11.43</v>
      </c>
      <c r="E3" s="6">
        <v>5.46</v>
      </c>
      <c r="F3" s="6">
        <f t="shared" ref="F3:F17" si="0">D3*(E3/100)</f>
        <v>0.62407800000000002</v>
      </c>
      <c r="G3" s="14">
        <f t="shared" ref="G3:G17" si="1">D3-$D$17</f>
        <v>3.8899999999999997</v>
      </c>
      <c r="H3" s="6">
        <f t="shared" ref="H3:H17" si="2">SQRT((F3^2)+(F$17^2))</f>
        <v>0.80434490950586612</v>
      </c>
      <c r="I3" s="17">
        <f t="shared" ref="I3:I17" si="3">(C3-B3)*24</f>
        <v>20.894444444391411</v>
      </c>
      <c r="J3" s="12">
        <f t="shared" ref="J3:J17" si="4">1/60</f>
        <v>1.6666666666666666E-2</v>
      </c>
      <c r="K3" s="14">
        <f>1-EXP(-$AE$3*I3)</f>
        <v>0.21012317349867393</v>
      </c>
      <c r="L3" s="6">
        <f t="shared" ref="L3:L17" si="5">K3*SQRT(((J3/I3)^2))</f>
        <v>1.67606891916411E-4</v>
      </c>
      <c r="M3" s="14">
        <f>G3/((1+K3))</f>
        <v>3.2145488039480656</v>
      </c>
      <c r="N3" s="6">
        <f t="shared" ref="N3:N17" si="6">M3*SQRT(((H3/G3)^2)+((L3/K3)^2))</f>
        <v>0.66468514286729663</v>
      </c>
      <c r="O3" s="14">
        <f>M3*K3</f>
        <v>0.67545119605193416</v>
      </c>
      <c r="P3" s="6">
        <f t="shared" ref="P3:P17" si="7">O3*SQRT(((N3/M3)^2)+((L3/K3)^2))</f>
        <v>0.13966679080416255</v>
      </c>
      <c r="Q3" s="14">
        <f t="shared" ref="Q3:Q17" si="8">M3+O3</f>
        <v>3.8899999999999997</v>
      </c>
      <c r="R3" s="14">
        <v>0.96159999999999979</v>
      </c>
      <c r="S3" s="6">
        <v>1.4142135623730951E-4</v>
      </c>
      <c r="T3" s="14">
        <f>M3/R3</f>
        <v>3.3429168094301853</v>
      </c>
      <c r="U3" s="6">
        <f t="shared" ref="U3:U16" si="9">T3*SQRT(((S3/R3)^2)+((N3/M3)^2))</f>
        <v>0.69122848481009391</v>
      </c>
      <c r="V3" s="14">
        <f>SUM($T$2:T3)</f>
        <v>5.121148541227269</v>
      </c>
      <c r="W3" s="6">
        <f>SQRT((U3^2)+(U2^2))</f>
        <v>0.94554412309824087</v>
      </c>
      <c r="X3" s="14">
        <f t="shared" ref="X3:X17" si="10">M3/60</f>
        <v>5.3575813399134427E-2</v>
      </c>
      <c r="Y3" s="6">
        <f t="shared" ref="Y3:Y16" si="11">X3*SQRT(((N3/M3)^2))</f>
        <v>1.1078085714454943E-2</v>
      </c>
      <c r="Z3" s="6">
        <f t="shared" ref="Z3:Z16" si="12">Y3^2</f>
        <v>1.2272398309681067E-4</v>
      </c>
      <c r="AA3" s="14">
        <f>(C3-$AE$6)*24</f>
        <v>168.89999999996508</v>
      </c>
      <c r="AB3" s="18">
        <f t="shared" ref="AB3:AB16" si="13">EXP(-$AE$9*AA3)</f>
        <v>0.99953606434063913</v>
      </c>
      <c r="AC3" s="14">
        <f t="shared" ref="AC3:AC16" si="14">X3/AB3</f>
        <v>5.3600680666261523E-2</v>
      </c>
      <c r="AE3">
        <f>LN(2)/61.4</f>
        <v>1.1289042028663604E-2</v>
      </c>
    </row>
    <row r="4" spans="1:31" x14ac:dyDescent="0.25">
      <c r="A4" s="29" t="s">
        <v>20</v>
      </c>
      <c r="B4" s="26">
        <v>43362.667129629626</v>
      </c>
      <c r="C4" s="15">
        <v>43363.560416608794</v>
      </c>
      <c r="D4" s="16">
        <v>8.59</v>
      </c>
      <c r="E4" s="6">
        <v>6.3</v>
      </c>
      <c r="F4" s="6">
        <f t="shared" si="0"/>
        <v>0.54117000000000004</v>
      </c>
      <c r="G4" s="14">
        <f t="shared" si="1"/>
        <v>1.0499999999999998</v>
      </c>
      <c r="H4" s="6">
        <f t="shared" si="2"/>
        <v>0.74186410633215027</v>
      </c>
      <c r="I4" s="17">
        <f t="shared" si="3"/>
        <v>21.438887500029523</v>
      </c>
      <c r="J4" s="12">
        <f t="shared" si="4"/>
        <v>1.6666666666666666E-2</v>
      </c>
      <c r="K4" s="14">
        <f>1-EXP(-$AE$3*I4)</f>
        <v>0.21496305768694757</v>
      </c>
      <c r="L4" s="6">
        <f t="shared" si="5"/>
        <v>1.6711303830998036E-4</v>
      </c>
      <c r="M4" s="14">
        <f>G4/((1+K4))</f>
        <v>0.8642238077583978</v>
      </c>
      <c r="N4" s="6">
        <f t="shared" si="6"/>
        <v>0.61060667706036886</v>
      </c>
      <c r="O4" s="14">
        <f>M4*K4</f>
        <v>0.18577619224160194</v>
      </c>
      <c r="P4" s="6">
        <f t="shared" si="7"/>
        <v>0.13125795779930183</v>
      </c>
      <c r="Q4" s="14">
        <f t="shared" si="8"/>
        <v>1.0499999999999998</v>
      </c>
      <c r="R4" s="14">
        <v>0.97269999999999968</v>
      </c>
      <c r="S4" s="6">
        <v>1.4142135623730951E-4</v>
      </c>
      <c r="T4" s="14">
        <f>M4/R4</f>
        <v>0.88847929244206647</v>
      </c>
      <c r="U4" s="6">
        <f t="shared" si="9"/>
        <v>0.62774410402839553</v>
      </c>
      <c r="V4" s="14">
        <f>SUM($T$2:T4)</f>
        <v>6.0096278336693354</v>
      </c>
      <c r="W4" s="6">
        <f>SQRT((U4^2)+(U3^2)+(U2^2))</f>
        <v>1.1349521350559391</v>
      </c>
      <c r="X4" s="14">
        <f t="shared" si="10"/>
        <v>1.440373012930663E-2</v>
      </c>
      <c r="Y4" s="6">
        <f t="shared" si="11"/>
        <v>1.0176777951006147E-2</v>
      </c>
      <c r="Z4" s="6">
        <f t="shared" si="12"/>
        <v>1.0356680946408486E-4</v>
      </c>
      <c r="AA4" s="14">
        <f>(C4-$AE$6)*24</f>
        <v>169.44999861106044</v>
      </c>
      <c r="AB4" s="18">
        <f t="shared" si="13"/>
        <v>0.99953455395238244</v>
      </c>
      <c r="AC4" s="14">
        <f t="shared" si="14"/>
        <v>1.441043741044376E-2</v>
      </c>
    </row>
    <row r="5" spans="1:31" x14ac:dyDescent="0.25">
      <c r="A5" s="29" t="s">
        <v>21</v>
      </c>
      <c r="B5" s="25">
        <v>43362.66736122685</v>
      </c>
      <c r="C5" s="15">
        <v>43363.583333275463</v>
      </c>
      <c r="D5" s="16">
        <v>9.7899999999999991</v>
      </c>
      <c r="E5" s="6">
        <v>5.9</v>
      </c>
      <c r="F5" s="6">
        <f t="shared" si="0"/>
        <v>0.57760999999999996</v>
      </c>
      <c r="G5" s="14">
        <f t="shared" si="1"/>
        <v>2.2499999999999991</v>
      </c>
      <c r="H5" s="6">
        <f t="shared" si="2"/>
        <v>0.76885024254662226</v>
      </c>
      <c r="I5" s="17">
        <f t="shared" si="3"/>
        <v>21.98332916671643</v>
      </c>
      <c r="J5" s="12">
        <f t="shared" si="4"/>
        <v>1.6666666666666666E-2</v>
      </c>
      <c r="K5" s="14">
        <f>1-EXP(-$AE$3*I5)</f>
        <v>0.21977327377831901</v>
      </c>
      <c r="L5" s="6">
        <f t="shared" si="5"/>
        <v>1.6662116408878888E-4</v>
      </c>
      <c r="M5" s="14">
        <f>G5/((1+K5))</f>
        <v>1.8446050986430391</v>
      </c>
      <c r="N5" s="6">
        <f t="shared" si="6"/>
        <v>0.63032380806570698</v>
      </c>
      <c r="O5" s="14">
        <f>M5*K5</f>
        <v>0.40539490135695977</v>
      </c>
      <c r="P5" s="6">
        <f t="shared" si="7"/>
        <v>0.13852866779476741</v>
      </c>
      <c r="Q5" s="14">
        <f t="shared" si="8"/>
        <v>2.2499999999999991</v>
      </c>
      <c r="R5" s="14">
        <v>0.89149999999999974</v>
      </c>
      <c r="S5" s="6">
        <v>1.4142135623730951E-4</v>
      </c>
      <c r="T5" s="14">
        <f>M5/R5</f>
        <v>2.0691027466551204</v>
      </c>
      <c r="U5" s="6">
        <f t="shared" si="9"/>
        <v>0.7070374380102411</v>
      </c>
      <c r="V5" s="14">
        <f>SUM($T$2:T5)</f>
        <v>8.0787305803244553</v>
      </c>
      <c r="W5" s="6">
        <f>SQRT((U5^2)+(U4^2)+(U3^2)+(U2^2))</f>
        <v>1.3371680102425874</v>
      </c>
      <c r="X5" s="14">
        <f t="shared" si="10"/>
        <v>3.0743418310717318E-2</v>
      </c>
      <c r="Y5" s="6">
        <f t="shared" si="11"/>
        <v>1.0505396801095116E-2</v>
      </c>
      <c r="Z5" s="6">
        <f t="shared" si="12"/>
        <v>1.1036336194845949E-4</v>
      </c>
      <c r="AA5" s="14">
        <f>(C5-$AE$6)*24</f>
        <v>169.999998611107</v>
      </c>
      <c r="AB5" s="18">
        <f t="shared" si="13"/>
        <v>0.99953304356259387</v>
      </c>
      <c r="AC5" s="14">
        <f t="shared" si="14"/>
        <v>3.0757780854487649E-2</v>
      </c>
    </row>
    <row r="6" spans="1:31" x14ac:dyDescent="0.25">
      <c r="A6" s="29" t="s">
        <v>22</v>
      </c>
      <c r="B6" s="26">
        <v>43362.667592766207</v>
      </c>
      <c r="C6" s="15">
        <v>43363.606249942131</v>
      </c>
      <c r="D6" s="16">
        <v>76.67</v>
      </c>
      <c r="E6" s="6">
        <v>2.11</v>
      </c>
      <c r="F6" s="6">
        <f t="shared" si="0"/>
        <v>1.6177369999999998</v>
      </c>
      <c r="G6" s="14">
        <f t="shared" si="1"/>
        <v>69.13</v>
      </c>
      <c r="H6" s="6">
        <f t="shared" si="2"/>
        <v>1.6954558043585208</v>
      </c>
      <c r="I6" s="17">
        <f t="shared" si="3"/>
        <v>22.527772222179919</v>
      </c>
      <c r="J6" s="12">
        <f t="shared" si="4"/>
        <v>1.6666666666666666E-2</v>
      </c>
      <c r="K6" s="14">
        <f>1-EXP(-$AE$3*I6)</f>
        <v>0.22455402802708924</v>
      </c>
      <c r="L6" s="6">
        <f t="shared" si="5"/>
        <v>1.6613125775925781E-4</v>
      </c>
      <c r="M6" s="14">
        <f>G6/((1+K6))</f>
        <v>56.453205344787548</v>
      </c>
      <c r="N6" s="6">
        <f t="shared" si="6"/>
        <v>1.3851794094898362</v>
      </c>
      <c r="O6" s="14">
        <f>M6*K6</f>
        <v>12.676794655212447</v>
      </c>
      <c r="P6" s="6">
        <f t="shared" si="7"/>
        <v>0.31118897523624178</v>
      </c>
      <c r="Q6" s="14">
        <f t="shared" si="8"/>
        <v>69.13</v>
      </c>
      <c r="R6" s="14">
        <v>0.83060000000000045</v>
      </c>
      <c r="S6" s="6">
        <v>1.4142135623730951E-4</v>
      </c>
      <c r="T6" s="14">
        <f>M6/R6</f>
        <v>67.966777443760563</v>
      </c>
      <c r="U6" s="6">
        <f t="shared" si="9"/>
        <v>1.6677254495967768</v>
      </c>
      <c r="V6" s="14">
        <f>SUM($T$2:T6)</f>
        <v>76.045508024085024</v>
      </c>
      <c r="W6" s="6">
        <f>SQRT((U6^2)+(U5^2)+(U4^2)+(U3^2)+(U2^2))</f>
        <v>2.1375982931432396</v>
      </c>
      <c r="X6" s="14">
        <f t="shared" si="10"/>
        <v>0.94088675574645919</v>
      </c>
      <c r="Y6" s="6">
        <f t="shared" si="11"/>
        <v>2.3086323491497272E-2</v>
      </c>
      <c r="Z6" s="6">
        <f t="shared" si="12"/>
        <v>5.329783323540588E-4</v>
      </c>
      <c r="AA6" s="14">
        <f>(C6-$AE$6)*24</f>
        <v>170.54999861115357</v>
      </c>
      <c r="AB6" s="18">
        <f t="shared" si="13"/>
        <v>0.99953153317508747</v>
      </c>
      <c r="AC6" s="14">
        <f t="shared" si="14"/>
        <v>0.94132773656240865</v>
      </c>
      <c r="AE6" s="1">
        <v>43356.5</v>
      </c>
    </row>
    <row r="7" spans="1:31" x14ac:dyDescent="0.25">
      <c r="A7" s="29" t="s">
        <v>23</v>
      </c>
      <c r="B7" s="26">
        <v>43362.667824305558</v>
      </c>
      <c r="C7" s="15">
        <v>43363.629166608793</v>
      </c>
      <c r="D7" s="16">
        <v>227.18</v>
      </c>
      <c r="E7" s="6">
        <v>1.23</v>
      </c>
      <c r="F7" s="6">
        <f t="shared" si="0"/>
        <v>2.794314</v>
      </c>
      <c r="G7" s="14">
        <f t="shared" si="1"/>
        <v>219.64000000000001</v>
      </c>
      <c r="H7" s="6">
        <f t="shared" si="2"/>
        <v>2.8400155129787583</v>
      </c>
      <c r="I7" s="17">
        <f t="shared" si="3"/>
        <v>23.072215277643409</v>
      </c>
      <c r="J7" s="12">
        <f t="shared" si="4"/>
        <v>1.6666666666666666E-2</v>
      </c>
      <c r="K7" s="14">
        <f>1-EXP(-$AE$3*I7)</f>
        <v>0.22930548872512724</v>
      </c>
      <c r="L7" s="6">
        <f t="shared" si="5"/>
        <v>1.6564331163821996E-4</v>
      </c>
      <c r="M7" s="14">
        <f>G7/((1+K7))</f>
        <v>178.66999050641311</v>
      </c>
      <c r="N7" s="6">
        <f t="shared" si="6"/>
        <v>2.3138625816065734</v>
      </c>
      <c r="O7" s="14">
        <f>M7*K7</f>
        <v>40.9700094935869</v>
      </c>
      <c r="P7" s="6">
        <f t="shared" si="7"/>
        <v>0.53140615775875299</v>
      </c>
      <c r="Q7" s="14">
        <f t="shared" si="8"/>
        <v>219.64000000000001</v>
      </c>
      <c r="R7" s="14">
        <v>0.81030000000000069</v>
      </c>
      <c r="S7" s="6">
        <v>1.4142135623730951E-4</v>
      </c>
      <c r="T7" s="14">
        <f>M7/R7</f>
        <v>220.49856905641485</v>
      </c>
      <c r="U7" s="6">
        <f t="shared" si="9"/>
        <v>2.8558221587781025</v>
      </c>
      <c r="V7" s="14">
        <f>SUM($T$2:T7)</f>
        <v>296.54407708049985</v>
      </c>
      <c r="W7" s="6">
        <f>SQRT((U7^2)+(U6^2)+(U5^2)+(U4^2)+(U3^2)+(U2^2))</f>
        <v>3.5672183372225641</v>
      </c>
      <c r="X7" s="14">
        <f t="shared" si="10"/>
        <v>2.9778331751068854</v>
      </c>
      <c r="Y7" s="6">
        <f t="shared" si="11"/>
        <v>3.8564376360109558E-2</v>
      </c>
      <c r="Z7" s="6">
        <f t="shared" si="12"/>
        <v>1.4872111240441768E-3</v>
      </c>
      <c r="AA7" s="14">
        <f>(C7-$AE$6)*24</f>
        <v>171.09999861102551</v>
      </c>
      <c r="AB7" s="18">
        <f t="shared" si="13"/>
        <v>0.99953002278986403</v>
      </c>
      <c r="AC7" s="14">
        <f t="shared" si="14"/>
        <v>2.9792333468835976</v>
      </c>
    </row>
    <row r="8" spans="1:31" x14ac:dyDescent="0.25">
      <c r="A8" s="29" t="s">
        <v>24</v>
      </c>
      <c r="B8" s="25">
        <v>43362.668055844908</v>
      </c>
      <c r="C8" s="15">
        <v>43363.652083275461</v>
      </c>
      <c r="D8" s="16">
        <v>190.19</v>
      </c>
      <c r="E8" s="6">
        <v>1.34</v>
      </c>
      <c r="F8" s="6">
        <f t="shared" si="0"/>
        <v>2.548546</v>
      </c>
      <c r="G8" s="14">
        <f t="shared" si="1"/>
        <v>182.65</v>
      </c>
      <c r="H8" s="6">
        <f t="shared" si="2"/>
        <v>2.5985734735581367</v>
      </c>
      <c r="I8" s="17">
        <f t="shared" si="3"/>
        <v>23.616658333281521</v>
      </c>
      <c r="J8" s="12">
        <f t="shared" si="4"/>
        <v>1.6666666666666666E-2</v>
      </c>
      <c r="K8" s="14">
        <f>1-EXP(-$AE$3*I8)</f>
        <v>0.23402783536698335</v>
      </c>
      <c r="L8" s="6">
        <f t="shared" si="5"/>
        <v>1.6515731682862047E-4</v>
      </c>
      <c r="M8" s="14">
        <f>G8/((1+K8))</f>
        <v>148.01124801668865</v>
      </c>
      <c r="N8" s="6">
        <f t="shared" si="6"/>
        <v>2.108354753733896</v>
      </c>
      <c r="O8" s="14">
        <f>M8*K8</f>
        <v>34.638751983311352</v>
      </c>
      <c r="P8" s="6">
        <f t="shared" si="7"/>
        <v>0.49401886953673291</v>
      </c>
      <c r="Q8" s="14">
        <f t="shared" si="8"/>
        <v>182.65</v>
      </c>
      <c r="R8" s="14">
        <v>0.78070000000000039</v>
      </c>
      <c r="S8" s="6">
        <v>1.4142135623730951E-4</v>
      </c>
      <c r="T8" s="14">
        <f>M8/R8</f>
        <v>189.58786731995463</v>
      </c>
      <c r="U8" s="6">
        <f t="shared" si="9"/>
        <v>2.7008136651667347</v>
      </c>
      <c r="V8" s="14">
        <f>SUM($T$2:T8)</f>
        <v>486.13194440045447</v>
      </c>
      <c r="W8" s="6">
        <f>SQRT((U8^2)+(U7^2)+(U6^2)+(U5^2)+(U4^2)+(U3^2)+(U2^2))</f>
        <v>4.4743090102683212</v>
      </c>
      <c r="X8" s="14">
        <f t="shared" si="10"/>
        <v>2.4668541336114775</v>
      </c>
      <c r="Y8" s="6">
        <f t="shared" si="11"/>
        <v>3.5139245895564934E-2</v>
      </c>
      <c r="Z8" s="6">
        <f t="shared" si="12"/>
        <v>1.234766602108977E-3</v>
      </c>
      <c r="AA8" s="14">
        <f>(C8-$AE$6)*24</f>
        <v>171.64999861107208</v>
      </c>
      <c r="AB8" s="18">
        <f t="shared" si="13"/>
        <v>0.99952851240692242</v>
      </c>
      <c r="AC8" s="14">
        <f t="shared" si="14"/>
        <v>2.4680177733711171</v>
      </c>
      <c r="AE8" t="s">
        <v>15</v>
      </c>
    </row>
    <row r="9" spans="1:31" x14ac:dyDescent="0.25">
      <c r="A9" s="29" t="s">
        <v>25</v>
      </c>
      <c r="B9" s="26">
        <v>43362.668287384258</v>
      </c>
      <c r="C9" s="15">
        <v>43363.67499994213</v>
      </c>
      <c r="D9" s="16">
        <v>88.78</v>
      </c>
      <c r="E9" s="6">
        <v>1.96</v>
      </c>
      <c r="F9" s="6">
        <f t="shared" si="0"/>
        <v>1.7400879999999999</v>
      </c>
      <c r="G9" s="14">
        <f t="shared" si="1"/>
        <v>81.239999999999995</v>
      </c>
      <c r="H9" s="6">
        <f t="shared" si="2"/>
        <v>1.8125682417796025</v>
      </c>
      <c r="I9" s="17">
        <f t="shared" si="3"/>
        <v>24.161101388919633</v>
      </c>
      <c r="J9" s="12">
        <f t="shared" si="4"/>
        <v>1.6666666666666666E-2</v>
      </c>
      <c r="K9" s="14">
        <f>1-EXP(-$AE$3*I9)</f>
        <v>0.23872124634434511</v>
      </c>
      <c r="L9" s="6">
        <f t="shared" si="5"/>
        <v>1.646732644769687E-4</v>
      </c>
      <c r="M9" s="14">
        <f>G9/((1+K9))</f>
        <v>65.583762480664305</v>
      </c>
      <c r="N9" s="6">
        <f t="shared" si="6"/>
        <v>1.4639567719808482</v>
      </c>
      <c r="O9" s="14">
        <f>M9*K9</f>
        <v>15.656237519335681</v>
      </c>
      <c r="P9" s="6">
        <f t="shared" si="7"/>
        <v>0.34964441970550936</v>
      </c>
      <c r="Q9" s="14">
        <f t="shared" si="8"/>
        <v>81.239999999999981</v>
      </c>
      <c r="R9" s="14">
        <v>0.81640000000000068</v>
      </c>
      <c r="S9" s="6">
        <v>1.4142135623730951E-4</v>
      </c>
      <c r="T9" s="14">
        <f>M9/R9</f>
        <v>80.332879079696539</v>
      </c>
      <c r="U9" s="6">
        <f t="shared" si="9"/>
        <v>1.7932396533867694</v>
      </c>
      <c r="V9" s="14">
        <f>SUM($T$2:T9)</f>
        <v>566.46482348015104</v>
      </c>
      <c r="W9" s="6">
        <f>SQRT((U9^2)+(U8^2)+(U7^2)+(U6^2)+(U5^2)+(U4^2)+(U3^2)+(U2^2))</f>
        <v>4.8202852170641295</v>
      </c>
      <c r="X9" s="14">
        <f t="shared" si="10"/>
        <v>1.0930627080110717</v>
      </c>
      <c r="Y9" s="6">
        <f t="shared" si="11"/>
        <v>2.4399279533014136E-2</v>
      </c>
      <c r="Z9" s="6">
        <f t="shared" si="12"/>
        <v>5.9532484173016251E-4</v>
      </c>
      <c r="AA9" s="14">
        <f>(C9-$AE$6)*24</f>
        <v>172.19999861111864</v>
      </c>
      <c r="AB9" s="18">
        <f t="shared" si="13"/>
        <v>0.9995270020262631</v>
      </c>
      <c r="AC9" s="14">
        <f t="shared" si="14"/>
        <v>1.093579969120585</v>
      </c>
      <c r="AE9">
        <f>LN(2)/252288</f>
        <v>2.7474441137110973E-6</v>
      </c>
    </row>
    <row r="10" spans="1:31" x14ac:dyDescent="0.25">
      <c r="A10" s="29" t="s">
        <v>26</v>
      </c>
      <c r="B10" s="26">
        <v>43362.668518923609</v>
      </c>
      <c r="C10" s="15">
        <v>43363.697916608799</v>
      </c>
      <c r="D10" s="16">
        <v>34.15</v>
      </c>
      <c r="E10" s="6">
        <v>3.16</v>
      </c>
      <c r="F10" s="6">
        <f t="shared" si="0"/>
        <v>1.07914</v>
      </c>
      <c r="G10" s="14">
        <f t="shared" si="1"/>
        <v>26.61</v>
      </c>
      <c r="H10" s="6">
        <f t="shared" si="2"/>
        <v>1.1924934058366947</v>
      </c>
      <c r="I10" s="17">
        <f t="shared" si="3"/>
        <v>24.705544444557745</v>
      </c>
      <c r="J10" s="12">
        <f t="shared" si="4"/>
        <v>1.6666666666666666E-2</v>
      </c>
      <c r="K10" s="14">
        <f>1-EXP(-$AE$3*I10)</f>
        <v>0.24338589895734397</v>
      </c>
      <c r="L10" s="6">
        <f t="shared" si="5"/>
        <v>1.6419114577265008E-4</v>
      </c>
      <c r="M10" s="14">
        <f>G10/((1+K10))</f>
        <v>21.401239970884443</v>
      </c>
      <c r="N10" s="6">
        <f t="shared" si="6"/>
        <v>0.95917809340923821</v>
      </c>
      <c r="O10" s="14">
        <f>M10*K10</f>
        <v>5.2087600291155525</v>
      </c>
      <c r="P10" s="6">
        <f t="shared" si="7"/>
        <v>0.23347686658155758</v>
      </c>
      <c r="Q10" s="14">
        <f t="shared" si="8"/>
        <v>26.609999999999996</v>
      </c>
      <c r="R10" s="14">
        <v>0.81540000000000035</v>
      </c>
      <c r="S10" s="6">
        <v>1.4142135623730951E-4</v>
      </c>
      <c r="T10" s="14">
        <f>M10/R10</f>
        <v>26.246308524508748</v>
      </c>
      <c r="U10" s="6">
        <f t="shared" si="9"/>
        <v>1.1763371047913476</v>
      </c>
      <c r="V10" s="14">
        <f>SUM($T$2:T10)</f>
        <v>592.71113200465982</v>
      </c>
      <c r="W10" s="6">
        <f>SQRT((U10^2)+(U9^2)+(U8^2)+(U7^2)+(U6^2)+(U5^2)+(U4^2)+(U3^2)+(U2^2))</f>
        <v>4.9617455152351253</v>
      </c>
      <c r="X10" s="14">
        <f t="shared" si="10"/>
        <v>0.35668733284807408</v>
      </c>
      <c r="Y10" s="6">
        <f t="shared" si="11"/>
        <v>1.598630155682064E-2</v>
      </c>
      <c r="Z10" s="6">
        <f t="shared" si="12"/>
        <v>2.5556183746560599E-4</v>
      </c>
      <c r="AA10" s="14">
        <f>(C10-$AE$6)*24</f>
        <v>172.74999861116521</v>
      </c>
      <c r="AB10" s="18">
        <f t="shared" si="13"/>
        <v>0.99952549164788607</v>
      </c>
      <c r="AC10" s="14">
        <f t="shared" si="14"/>
        <v>0.35685666431579943</v>
      </c>
    </row>
    <row r="11" spans="1:31" x14ac:dyDescent="0.25">
      <c r="A11" s="29" t="s">
        <v>27</v>
      </c>
      <c r="B11" s="25">
        <v>43362.668750462966</v>
      </c>
      <c r="C11" s="15">
        <v>43363.72083327546</v>
      </c>
      <c r="D11" s="16">
        <v>16.78</v>
      </c>
      <c r="E11" s="6">
        <v>4.51</v>
      </c>
      <c r="F11" s="6">
        <f>D11*(E11/100)</f>
        <v>0.75677800000000006</v>
      </c>
      <c r="G11" s="14">
        <f t="shared" si="1"/>
        <v>9.240000000000002</v>
      </c>
      <c r="H11" s="6">
        <f t="shared" si="2"/>
        <v>0.91115878124945926</v>
      </c>
      <c r="I11" s="17">
        <f t="shared" si="3"/>
        <v>25.249987499846611</v>
      </c>
      <c r="J11" s="12">
        <f t="shared" si="4"/>
        <v>1.6666666666666666E-2</v>
      </c>
      <c r="K11" s="14">
        <f>1-EXP(-$AE$3*I11)</f>
        <v>0.24802196941675914</v>
      </c>
      <c r="L11" s="6">
        <f t="shared" si="5"/>
        <v>1.6371095194817146E-4</v>
      </c>
      <c r="M11" s="14">
        <f>G11/((1+K11))</f>
        <v>7.4037158210589444</v>
      </c>
      <c r="N11" s="6">
        <f t="shared" si="6"/>
        <v>0.73009868078885709</v>
      </c>
      <c r="O11" s="14">
        <f>M11*K11</f>
        <v>1.8362841789410573</v>
      </c>
      <c r="P11" s="6">
        <f t="shared" si="7"/>
        <v>0.18108456914881343</v>
      </c>
      <c r="Q11" s="14">
        <f t="shared" si="8"/>
        <v>9.240000000000002</v>
      </c>
      <c r="R11" s="14">
        <v>0.81639999999999979</v>
      </c>
      <c r="S11" s="6">
        <v>1.4142135623730951E-4</v>
      </c>
      <c r="T11" s="14">
        <f>M11/R11</f>
        <v>9.0687356945846958</v>
      </c>
      <c r="U11" s="6">
        <f t="shared" si="9"/>
        <v>0.89429177760657108</v>
      </c>
      <c r="V11" s="14">
        <f>SUM($T$2:T11)</f>
        <v>601.77986769924451</v>
      </c>
      <c r="W11" s="6">
        <f>SQRT((U11^2)+(U10^2)+(U9^2)+(U8^2)+(U7^2)+(U6^2)+(U5^2)+(U4^2)+(U3^2)+(U2^2))</f>
        <v>5.041693796875272</v>
      </c>
      <c r="X11" s="14">
        <f t="shared" si="10"/>
        <v>0.12339526368431573</v>
      </c>
      <c r="Y11" s="6">
        <f t="shared" si="11"/>
        <v>1.2168311346480951E-2</v>
      </c>
      <c r="Z11" s="6">
        <f t="shared" si="12"/>
        <v>1.4806780102489706E-4</v>
      </c>
      <c r="AA11" s="14">
        <f>(C11-$AE$6)*24</f>
        <v>173.29999861103715</v>
      </c>
      <c r="AB11" s="18">
        <f t="shared" si="13"/>
        <v>0.99952398127179187</v>
      </c>
      <c r="AC11" s="14">
        <f t="shared" si="14"/>
        <v>0.12345403011472311</v>
      </c>
    </row>
    <row r="12" spans="1:31" x14ac:dyDescent="0.25">
      <c r="A12" s="29" t="s">
        <v>28</v>
      </c>
      <c r="B12" s="26">
        <v>43362.668982002317</v>
      </c>
      <c r="C12" s="15">
        <v>43363.743749942128</v>
      </c>
      <c r="D12" s="16">
        <v>10.5</v>
      </c>
      <c r="E12" s="6">
        <v>5.7</v>
      </c>
      <c r="F12" s="6">
        <f>D12*(E12/100)</f>
        <v>0.59850000000000003</v>
      </c>
      <c r="G12" s="14">
        <f t="shared" si="1"/>
        <v>2.96</v>
      </c>
      <c r="H12" s="6">
        <f t="shared" si="2"/>
        <v>0.78466530021659553</v>
      </c>
      <c r="I12" s="17">
        <f t="shared" si="3"/>
        <v>25.794430555484723</v>
      </c>
      <c r="J12" s="12">
        <f t="shared" si="4"/>
        <v>1.6666666666666666E-2</v>
      </c>
      <c r="K12" s="14">
        <f>1-EXP(-$AE$3*I12)</f>
        <v>0.2526296328625518</v>
      </c>
      <c r="L12" s="6">
        <f t="shared" si="5"/>
        <v>1.632326742777132E-4</v>
      </c>
      <c r="M12" s="14">
        <f>G12/((1+K12))</f>
        <v>2.3630288812789035</v>
      </c>
      <c r="N12" s="6">
        <f t="shared" si="6"/>
        <v>0.62641630892237155</v>
      </c>
      <c r="O12" s="14">
        <f>M12*K12</f>
        <v>0.59697111872109587</v>
      </c>
      <c r="P12" s="6">
        <f t="shared" si="7"/>
        <v>0.15825179222486777</v>
      </c>
      <c r="Q12" s="14">
        <f t="shared" si="8"/>
        <v>2.9599999999999995</v>
      </c>
      <c r="R12" s="14">
        <v>0.78629999999999978</v>
      </c>
      <c r="S12" s="6">
        <v>1.4142135623730951E-4</v>
      </c>
      <c r="T12" s="14">
        <f>M12/R12</f>
        <v>3.005251025408755</v>
      </c>
      <c r="U12" s="6">
        <f t="shared" si="9"/>
        <v>0.79666342757239506</v>
      </c>
      <c r="V12" s="14">
        <f>SUM($T$2:T12)</f>
        <v>604.78511872465322</v>
      </c>
      <c r="W12" s="6">
        <f>SQRT((U12^2)+(U11^2)+(U10^2)+(U9^2)+(U8^2)+(U7^2)+(U6^2)+(U5^2)+(U4^2)+(U3^2)+(U2^2))</f>
        <v>5.1042481285966099</v>
      </c>
      <c r="X12" s="14">
        <f t="shared" si="10"/>
        <v>3.9383814687981723E-2</v>
      </c>
      <c r="Y12" s="6">
        <f t="shared" si="11"/>
        <v>1.0440271815372859E-2</v>
      </c>
      <c r="Z12" s="6">
        <f t="shared" si="12"/>
        <v>1.0899927557886889E-4</v>
      </c>
      <c r="AA12" s="14">
        <f>(C12-$AE$6)*24</f>
        <v>173.84999861108372</v>
      </c>
      <c r="AB12" s="18">
        <f t="shared" si="13"/>
        <v>0.99952247089797952</v>
      </c>
      <c r="AC12" s="14">
        <f t="shared" si="14"/>
        <v>3.9402630590784984E-2</v>
      </c>
    </row>
    <row r="13" spans="1:31" x14ac:dyDescent="0.25">
      <c r="A13" s="29" t="s">
        <v>29</v>
      </c>
      <c r="B13" s="26">
        <v>43362.669213541667</v>
      </c>
      <c r="C13" s="15">
        <v>43363.765277777777</v>
      </c>
      <c r="D13" s="16">
        <v>9.65</v>
      </c>
      <c r="E13" s="6">
        <v>5.94</v>
      </c>
      <c r="F13" s="6">
        <f t="shared" si="0"/>
        <v>0.57321</v>
      </c>
      <c r="G13" s="14">
        <f t="shared" si="1"/>
        <v>2.1100000000000003</v>
      </c>
      <c r="H13" s="6">
        <f t="shared" si="2"/>
        <v>0.76555018611714798</v>
      </c>
      <c r="I13" s="17">
        <f t="shared" si="3"/>
        <v>26.305541666632053</v>
      </c>
      <c r="J13" s="12">
        <f t="shared" si="4"/>
        <v>1.6666666666666666E-2</v>
      </c>
      <c r="K13" s="14">
        <f>1-EXP(-$AE$3*I13)</f>
        <v>0.25692950913572665</v>
      </c>
      <c r="L13" s="6">
        <f t="shared" si="5"/>
        <v>1.627854138060673E-4</v>
      </c>
      <c r="M13" s="14">
        <f>G13/((1+K13))</f>
        <v>1.6786939797847937</v>
      </c>
      <c r="N13" s="6">
        <f t="shared" si="6"/>
        <v>0.60906466735246245</v>
      </c>
      <c r="O13" s="14">
        <f>M13*K13</f>
        <v>0.43130602021520648</v>
      </c>
      <c r="P13" s="6">
        <f t="shared" si="7"/>
        <v>0.15648692461252045</v>
      </c>
      <c r="Q13" s="14">
        <f t="shared" si="8"/>
        <v>2.1100000000000003</v>
      </c>
      <c r="R13" s="14">
        <v>0.82420000000000027</v>
      </c>
      <c r="S13" s="6">
        <v>1.4142135623730951E-4</v>
      </c>
      <c r="T13" s="14">
        <f>M13/R13</f>
        <v>2.0367556173074415</v>
      </c>
      <c r="U13" s="6">
        <f t="shared" si="9"/>
        <v>0.73897686904030169</v>
      </c>
      <c r="V13" s="14">
        <f>SUM($T$2:T13)</f>
        <v>606.82187434196067</v>
      </c>
      <c r="W13" s="6">
        <f>SQRT((U13^2)+(U12^2)+(U11^2)+(U10^2)+(U9^2)+(U8^2)+(U7^2)+(U6^2)+(U5^2)+(U4^2)+(U3^2)+(U2^2))</f>
        <v>5.1574640833706829</v>
      </c>
      <c r="X13" s="14">
        <f t="shared" si="10"/>
        <v>2.7978232996413228E-2</v>
      </c>
      <c r="Y13" s="6">
        <f t="shared" si="11"/>
        <v>1.0151077789207708E-2</v>
      </c>
      <c r="Z13" s="6">
        <f t="shared" si="12"/>
        <v>1.0304438028254604E-4</v>
      </c>
      <c r="AA13" s="14">
        <f>(C13-$AE$6)*24</f>
        <v>174.3666666666395</v>
      </c>
      <c r="AB13" s="18">
        <f t="shared" si="13"/>
        <v>0.99952105206023911</v>
      </c>
      <c r="AC13" s="14">
        <f t="shared" si="14"/>
        <v>2.7991639534498805E-2</v>
      </c>
    </row>
    <row r="14" spans="1:31" x14ac:dyDescent="0.25">
      <c r="A14" s="29" t="s">
        <v>30</v>
      </c>
      <c r="B14" s="25">
        <v>43362.669445081017</v>
      </c>
      <c r="C14" s="15">
        <v>43363.788194444445</v>
      </c>
      <c r="D14" s="16">
        <v>8.73</v>
      </c>
      <c r="E14" s="6">
        <v>6.25</v>
      </c>
      <c r="F14" s="6">
        <f t="shared" si="0"/>
        <v>0.54562500000000003</v>
      </c>
      <c r="G14" s="14">
        <f t="shared" si="1"/>
        <v>1.1900000000000004</v>
      </c>
      <c r="H14" s="6">
        <f t="shared" si="2"/>
        <v>0.74512014064109144</v>
      </c>
      <c r="I14" s="17">
        <f t="shared" si="3"/>
        <v>26.849984722270165</v>
      </c>
      <c r="J14" s="12">
        <f t="shared" si="4"/>
        <v>1.6666666666666666E-2</v>
      </c>
      <c r="K14" s="14">
        <f>1-EXP(-$AE$3*I14)</f>
        <v>0.26148259260246975</v>
      </c>
      <c r="L14" s="6">
        <f t="shared" si="5"/>
        <v>1.6231082643508821E-4</v>
      </c>
      <c r="M14" s="14">
        <f>G14/((1+K14))</f>
        <v>0.9433344597684864</v>
      </c>
      <c r="N14" s="6">
        <f t="shared" si="6"/>
        <v>0.59067046279543345</v>
      </c>
      <c r="O14" s="14">
        <f>M14*K14</f>
        <v>0.24666554023151402</v>
      </c>
      <c r="P14" s="6">
        <f t="shared" si="7"/>
        <v>0.15445011987958956</v>
      </c>
      <c r="Q14" s="14">
        <f t="shared" si="8"/>
        <v>1.1900000000000004</v>
      </c>
      <c r="R14" s="14">
        <v>0.79250000000000043</v>
      </c>
      <c r="S14" s="6">
        <v>1.4142135623730951E-4</v>
      </c>
      <c r="T14" s="14">
        <f>M14/R14</f>
        <v>1.1903273940296353</v>
      </c>
      <c r="U14" s="6">
        <f t="shared" si="9"/>
        <v>0.74532553537296797</v>
      </c>
      <c r="V14" s="14">
        <f>SUM($T$2:T14)</f>
        <v>608.01220173599029</v>
      </c>
      <c r="W14" s="6">
        <f>SQRT((U14^2)+(U13^2)+(U12^2)+(U11^2)+(U10^2)+(U9^2)+(U8^2)+(U7^2)+(U6^2)+(U5^2)+(U4^2)+(U3^2)+(U2^2))</f>
        <v>5.2110407717592846</v>
      </c>
      <c r="X14" s="14">
        <f t="shared" si="10"/>
        <v>1.5722240996141439E-2</v>
      </c>
      <c r="Y14" s="6">
        <f t="shared" si="11"/>
        <v>9.844507713257223E-3</v>
      </c>
      <c r="Z14" s="6">
        <f t="shared" si="12"/>
        <v>9.691433211638096E-5</v>
      </c>
      <c r="AA14" s="14">
        <f>(C14-$AE$6)*24</f>
        <v>174.91666666668607</v>
      </c>
      <c r="AB14" s="18">
        <f t="shared" si="13"/>
        <v>0.99951954169085311</v>
      </c>
      <c r="AC14" s="14">
        <f t="shared" si="14"/>
        <v>1.5729798508536071E-2</v>
      </c>
    </row>
    <row r="15" spans="1:31" x14ac:dyDescent="0.25">
      <c r="A15" s="29" t="s">
        <v>31</v>
      </c>
      <c r="B15" s="26">
        <v>43362.669676620368</v>
      </c>
      <c r="C15" s="15">
        <v>43363.81111116898</v>
      </c>
      <c r="D15" s="16">
        <v>7.6</v>
      </c>
      <c r="E15" s="6">
        <v>6.7</v>
      </c>
      <c r="F15" s="6">
        <f t="shared" si="0"/>
        <v>0.50919999999999999</v>
      </c>
      <c r="G15" s="14">
        <f t="shared" si="1"/>
        <v>5.9999999999999609E-2</v>
      </c>
      <c r="H15" s="6">
        <f t="shared" si="2"/>
        <v>0.71887552703093183</v>
      </c>
      <c r="I15" s="17">
        <f t="shared" si="3"/>
        <v>27.394429166684859</v>
      </c>
      <c r="J15" s="12">
        <f t="shared" si="4"/>
        <v>1.6666666666666666E-2</v>
      </c>
      <c r="K15" s="14">
        <f>1-EXP(-$AE$3*I15)</f>
        <v>0.26600778905387945</v>
      </c>
      <c r="L15" s="6">
        <f t="shared" si="5"/>
        <v>1.6183812861812253E-4</v>
      </c>
      <c r="M15" s="14">
        <f>G15/((1+K15))</f>
        <v>4.7393073343442199E-2</v>
      </c>
      <c r="N15" s="6">
        <f t="shared" si="6"/>
        <v>0.56782867702178874</v>
      </c>
      <c r="O15" s="14">
        <f>M15*K15</f>
        <v>1.260692665655741E-2</v>
      </c>
      <c r="P15" s="6">
        <f t="shared" si="7"/>
        <v>0.15104685113069302</v>
      </c>
      <c r="Q15" s="14">
        <f t="shared" si="8"/>
        <v>5.9999999999999609E-2</v>
      </c>
      <c r="R15" s="14">
        <v>0.78379999999999939</v>
      </c>
      <c r="S15" s="6">
        <v>1.4142135623730951E-4</v>
      </c>
      <c r="T15" s="14">
        <f>M15/R15</f>
        <v>6.0465773594593313E-2</v>
      </c>
      <c r="U15" s="6">
        <f t="shared" si="9"/>
        <v>0.72445608201859757</v>
      </c>
      <c r="V15" s="14">
        <f>SUM($T$2:T15)</f>
        <v>608.0726675095849</v>
      </c>
      <c r="W15" s="6">
        <f>SQRT((U15^2)+(U14^2)+(U13^2)+(U12^2)+(U11^2)+(U10^2)+(U9^2)+(U8^2)+(U7^2)+(U6^2)+(U5^2)+(U4^2)+(U3^2)+(U2^2))</f>
        <v>5.2611579086462843</v>
      </c>
      <c r="X15" s="14">
        <f t="shared" si="10"/>
        <v>7.898845557240367E-4</v>
      </c>
      <c r="Y15" s="6">
        <f t="shared" si="11"/>
        <v>9.4638112836964786E-3</v>
      </c>
      <c r="Z15" s="6">
        <f t="shared" si="12"/>
        <v>8.9563724013420786E-5</v>
      </c>
      <c r="AA15" s="14">
        <f>(C15-$AE$6)*24</f>
        <v>175.46666805550922</v>
      </c>
      <c r="AB15" s="18">
        <f t="shared" si="13"/>
        <v>0.99951803131993566</v>
      </c>
      <c r="AC15" s="14">
        <f t="shared" si="14"/>
        <v>7.9026543891453076E-4</v>
      </c>
    </row>
    <row r="16" spans="1:31" x14ac:dyDescent="0.25">
      <c r="A16" s="29" t="s">
        <v>32</v>
      </c>
      <c r="B16" s="26">
        <v>43362.669908159725</v>
      </c>
      <c r="C16" s="15">
        <v>43363.834027893521</v>
      </c>
      <c r="D16" s="16">
        <v>8.4600000000000009</v>
      </c>
      <c r="E16" s="6">
        <v>6.35</v>
      </c>
      <c r="F16" s="6">
        <f t="shared" si="0"/>
        <v>0.53721000000000008</v>
      </c>
      <c r="G16" s="14">
        <f t="shared" si="1"/>
        <v>0.92000000000000082</v>
      </c>
      <c r="H16" s="6">
        <f t="shared" si="2"/>
        <v>0.73898035661578998</v>
      </c>
      <c r="I16" s="17">
        <f t="shared" si="3"/>
        <v>27.938873611099552</v>
      </c>
      <c r="J16" s="12">
        <f t="shared" si="4"/>
        <v>1.6666666666666666E-2</v>
      </c>
      <c r="K16" s="14">
        <f>1-EXP(-$AE$3*I16)</f>
        <v>0.27050525778659396</v>
      </c>
      <c r="L16" s="6">
        <f t="shared" si="5"/>
        <v>1.6136731300859581E-4</v>
      </c>
      <c r="M16" s="14">
        <f>G16/((1+K16))</f>
        <v>0.72412136381298842</v>
      </c>
      <c r="N16" s="6">
        <f t="shared" si="6"/>
        <v>0.58164305569083818</v>
      </c>
      <c r="O16" s="14">
        <f>M16*K16</f>
        <v>0.19587863618701243</v>
      </c>
      <c r="P16" s="6">
        <f t="shared" si="7"/>
        <v>0.15733754810962147</v>
      </c>
      <c r="Q16" s="14">
        <f t="shared" si="8"/>
        <v>0.92000000000000082</v>
      </c>
      <c r="R16" s="14">
        <v>0.77659999999999929</v>
      </c>
      <c r="S16" s="6">
        <v>1.4142135623730951E-4</v>
      </c>
      <c r="T16" s="14">
        <f>M16/R16</f>
        <v>0.9324251401145881</v>
      </c>
      <c r="U16" s="6">
        <f t="shared" si="9"/>
        <v>0.74896094596759766</v>
      </c>
      <c r="V16" s="14">
        <f>SUM($T$2:T16)</f>
        <v>609.00509264969946</v>
      </c>
      <c r="W16" s="6">
        <f>SQRT((U16^2)+(U15^2)+(U14^2)+(U13^2)+(U12^2)+(U11^2)+(U10^2)+(U9^2)+(U8^2)+(U7^2)+(U6^2)+(U5^2)+(U4^2)+(U3^2)+(U2^2))</f>
        <v>5.3142003197372993</v>
      </c>
      <c r="X16" s="14">
        <f t="shared" si="10"/>
        <v>1.206868939688314E-2</v>
      </c>
      <c r="Y16" s="6">
        <f t="shared" si="11"/>
        <v>9.6940509281806357E-3</v>
      </c>
      <c r="Z16" s="6">
        <f t="shared" si="12"/>
        <v>9.397462339815984E-5</v>
      </c>
      <c r="AA16" s="14">
        <f>(C16-$AE$6)*24</f>
        <v>176.01666944450699</v>
      </c>
      <c r="AB16" s="18">
        <f t="shared" si="13"/>
        <v>0.99951652095129995</v>
      </c>
      <c r="AC16" s="14">
        <f t="shared" si="14"/>
        <v>1.2074527177796564E-2</v>
      </c>
    </row>
    <row r="17" spans="1:29" ht="15.75" thickBot="1" x14ac:dyDescent="0.3">
      <c r="A17" s="30" t="s">
        <v>11</v>
      </c>
      <c r="B17" s="25">
        <v>43362.670139699076</v>
      </c>
      <c r="C17" s="15">
        <v>43363.857638888891</v>
      </c>
      <c r="D17" s="16">
        <v>7.54</v>
      </c>
      <c r="E17" s="6">
        <v>6.73</v>
      </c>
      <c r="F17" s="6">
        <f t="shared" si="0"/>
        <v>0.50744199999999995</v>
      </c>
      <c r="G17" s="14">
        <f t="shared" si="1"/>
        <v>0</v>
      </c>
      <c r="H17" s="6">
        <f t="shared" si="2"/>
        <v>0.71763135851772808</v>
      </c>
      <c r="I17" s="17">
        <f t="shared" si="3"/>
        <v>28.499980555556249</v>
      </c>
      <c r="J17" s="12">
        <f t="shared" si="4"/>
        <v>1.6666666666666666E-2</v>
      </c>
      <c r="K17" s="14">
        <f>1-EXP(-$AE$3*I17)</f>
        <v>0.27511153570038616</v>
      </c>
      <c r="L17" s="6">
        <f t="shared" si="5"/>
        <v>1.6088404877101541E-4</v>
      </c>
      <c r="M17" s="14">
        <f>G17/((1+K17))</f>
        <v>0</v>
      </c>
      <c r="N17" s="6" t="e">
        <f t="shared" si="6"/>
        <v>#DIV/0!</v>
      </c>
      <c r="O17" s="14">
        <f>M17*K17</f>
        <v>0</v>
      </c>
      <c r="P17" s="6" t="e">
        <f t="shared" si="7"/>
        <v>#DIV/0!</v>
      </c>
      <c r="Q17" s="14">
        <f t="shared" si="8"/>
        <v>0</v>
      </c>
      <c r="R17" s="14"/>
      <c r="S17" s="6">
        <v>1.4142135623730951E-4</v>
      </c>
      <c r="T17" s="14"/>
      <c r="U17" s="6"/>
      <c r="V17" s="14"/>
      <c r="W17" s="6"/>
      <c r="X17" s="14">
        <f t="shared" si="10"/>
        <v>0</v>
      </c>
      <c r="Y17" s="6"/>
      <c r="Z17" s="6"/>
      <c r="AA17" s="14"/>
      <c r="AB17" s="14"/>
      <c r="AC17" s="14"/>
    </row>
    <row r="23" spans="1:29" x14ac:dyDescent="0.25">
      <c r="Y23" s="13" t="s">
        <v>48</v>
      </c>
      <c r="Z23" s="3"/>
      <c r="AB23" s="3"/>
      <c r="AC23">
        <f>SUM(AC2:AC16)</f>
        <v>8.1864185983520628</v>
      </c>
    </row>
    <row r="24" spans="1:29" x14ac:dyDescent="0.25">
      <c r="W24" t="s">
        <v>49</v>
      </c>
      <c r="X24" s="3">
        <f>SUM(X2:X16)</f>
        <v>8.1825630124798234</v>
      </c>
      <c r="Y24" s="3">
        <f>SQRT(SUM(Z2:Z16))</f>
        <v>7.2077258998501897E-2</v>
      </c>
    </row>
    <row r="27" spans="1:29" x14ac:dyDescent="0.25">
      <c r="G2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CT33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2021-06-16T17:03:09Z</dcterms:modified>
</cp:coreProperties>
</file>